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09"/>
  <workbookPr/>
  <mc:AlternateContent xmlns:mc="http://schemas.openxmlformats.org/markup-compatibility/2006">
    <mc:Choice Requires="x15">
      <x15ac:absPath xmlns:x15ac="http://schemas.microsoft.com/office/spreadsheetml/2010/11/ac" url="https://sblch-my.sharepoint.com/personal/daniel_roth_sbl_ch/Documents/SchiWe25/"/>
    </mc:Choice>
  </mc:AlternateContent>
  <xr:revisionPtr revIDLastSave="391" documentId="8_{E28B65D5-3BBB-454C-BB05-9AFF3914A562}" xr6:coauthVersionLast="47" xr6:coauthVersionMax="47" xr10:uidLastSave="{103637DE-C380-4E19-A025-CE9E433DEC70}"/>
  <bookViews>
    <workbookView xWindow="-110" yWindow="-110" windowWidth="19420" windowHeight="11500" firstSheet="1" xr2:uid="{00000000-000D-0000-FFFF-FFFF00000000}"/>
  </bookViews>
  <sheets>
    <sheet name="Notenblatt" sheetId="2" r:id="rId1"/>
    <sheet name="ProduktorientierteMA" sheetId="1" r:id="rId2"/>
    <sheet name="ExperimentelleMA" sheetId="3" r:id="rId3"/>
    <sheet name="GeistesUndSozialMA" sheetId="4" r:id="rId4"/>
    <sheet name="BGMA" sheetId="5" r:id="rId5"/>
    <sheet name="Hilfstabelle" sheetId="6" r:id="rId6"/>
  </sheets>
  <definedNames>
    <definedName name="_xlnm.Print_Area" localSheetId="0">Notenblatt!$A$1:$E$22</definedName>
    <definedName name="Gewichtung">_xlfn.LAMBDA(_xlpm.a,_xlpm.goal, SUM(INDEX(SkipHeader(INDIRECT(_xlpm.goal&amp;_xlpm.a)), , 4))/SUM(INDEX(SkipHeader(INDIRECT("Inhalt"&amp;_xlpm.a)), , 4), INDEX(SkipHeader(INDIRECT("Theorie"&amp;_xlpm.a)), , 4), INDEX(SkipHeader(INDIRECT("Prozess"&amp;_xlpm.a)), , 4)))</definedName>
    <definedName name="Inhalt01">ProduktorientierteMA!$A$3:$D$7</definedName>
    <definedName name="Inhalt02">ExperimentelleMA!$A$3:$D$8</definedName>
    <definedName name="Inhalt03">GeistesUndSozialMA!$A$3:$D$9</definedName>
    <definedName name="Inhalt04">BGMA!$A$3:$D$9</definedName>
    <definedName name="Note" comment="Liesst einen Tabellennamen, und berechnet die gewichteten Notendurchschnitte.">_xlfn.LAMBDA(_xlpm.tableName, SUM((PickColumn(SkipHeader(_xlpm.tableName), 3)*PickColumn(SkipHeader(_xlpm.tableName), 4))) / SUM(PickColumn(SkipHeader(_xlpm.tableName), 4)))</definedName>
    <definedName name="PickColumn">_xlfn.LAMBDA(_xlpm.table,_xlpm.col, INDEX(_xlpm.table, , _xlpm.col))</definedName>
    <definedName name="Prozess01">ProduktorientierteMA!$A$13:$D$16</definedName>
    <definedName name="Prozess02">ExperimentelleMA!$A$14:$D$17</definedName>
    <definedName name="Prozess03">GeistesUndSozialMA!$A$15:$D$18</definedName>
    <definedName name="Prozess04">BGMA!$A$15:$D$16</definedName>
    <definedName name="SkipHeader" comment="Überspringt die erste Zeile in einer Matrix, gibt den Rest zurück.">_xlfn.LAMBDA(_xlpm.tableName, OFFSET(_xlpm.tableName, 1, 0, ROWS(_xlpm.tableName)-1))</definedName>
    <definedName name="Theorie01">ProduktorientierteMA!$A$8:$D$12</definedName>
    <definedName name="Theorie02">ExperimentelleMA!$A$9:$D$13</definedName>
    <definedName name="Theorie03">GeistesUndSozialMA!$A$10:$D$14</definedName>
    <definedName name="Theorie04">BGMA!$A$10:$D$14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 l="1" a="1"/>
  <c r="C13" i="1"/>
  <c r="C8" i="1" a="1"/>
  <c r="C8" i="1"/>
  <c r="C3" i="1" a="1"/>
  <c r="C3" i="1"/>
  <c r="D15" i="5" a="1"/>
  <c r="D15" i="5"/>
  <c r="D10" i="5" a="1"/>
  <c r="D10" i="5"/>
  <c r="D3" i="5" a="1"/>
  <c r="D3" i="5"/>
  <c r="D3" i="4" a="1"/>
  <c r="D3" i="4"/>
  <c r="C15" i="5" a="1"/>
  <c r="C15" i="5"/>
  <c r="C10" i="5" a="1"/>
  <c r="C10" i="5"/>
  <c r="C3" i="5" a="1"/>
  <c r="C3" i="5"/>
  <c r="C15" i="4" a="1"/>
  <c r="C15" i="4"/>
  <c r="C10" i="4" a="1"/>
  <c r="C10" i="4"/>
  <c r="C3" i="4" a="1"/>
  <c r="C3" i="4"/>
  <c r="D15" i="4" a="1"/>
  <c r="D15" i="4"/>
  <c r="D10" i="4" a="1"/>
  <c r="D10" i="4"/>
  <c r="D14" i="3" a="1"/>
  <c r="D14" i="3"/>
  <c r="D9" i="3" a="1"/>
  <c r="D9" i="3"/>
  <c r="D3" i="3" a="1"/>
  <c r="D3" i="3"/>
  <c r="D13" i="1" a="1"/>
  <c r="D13" i="1"/>
  <c r="D8" i="1" a="1"/>
  <c r="D8" i="1"/>
  <c r="D16" i="2" s="1"/>
  <c r="D3" i="1" a="1"/>
  <c r="D3" i="1"/>
  <c r="C3" i="3" a="1"/>
  <c r="C3" i="3"/>
  <c r="A17" i="2"/>
  <c r="A16" i="2"/>
  <c r="A15" i="2"/>
  <c r="F8" i="3"/>
  <c r="F3" i="3"/>
  <c r="C14" i="3" a="1"/>
  <c r="C14" i="3" s="1"/>
  <c r="D17" i="2" s="1"/>
  <c r="C9" i="3" a="1"/>
  <c r="C9" i="3" s="1"/>
  <c r="C15" i="2"/>
  <c r="F10" i="4"/>
  <c r="F15" i="5"/>
  <c r="F10" i="5"/>
  <c r="F3" i="5"/>
  <c r="C18" i="5"/>
  <c r="F15" i="4"/>
  <c r="C16" i="2" l="1"/>
  <c r="C17" i="2"/>
  <c r="C19" i="3"/>
  <c r="C20" i="4"/>
  <c r="F3" i="4"/>
  <c r="F8" i="1"/>
  <c r="F13" i="1"/>
  <c r="E17" i="2" l="1"/>
  <c r="E16" i="2"/>
  <c r="D15" i="2"/>
  <c r="D18" i="2" s="1"/>
  <c r="E15" i="2"/>
  <c r="E18" i="2"/>
  <c r="F3" i="1"/>
  <c r="C18"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<sst xmlns="http://schemas.openxmlformats.org/spreadsheetml/2006/main" count="107" uniqueCount="71">
  <si>
    <t>Gymnasium Muttenz</t>
  </si>
  <si>
    <t>Maturarbeit</t>
  </si>
  <si>
    <t>Schülerin / Schüler</t>
  </si>
  <si>
    <t>Klasse:</t>
  </si>
  <si>
    <t>Titel</t>
  </si>
  <si>
    <t>Betreuungsperson</t>
  </si>
  <si>
    <t>Co-Referat</t>
  </si>
  <si>
    <t>Art der Maturarbeit</t>
  </si>
  <si>
    <t>ProduktorientierteMA</t>
  </si>
  <si>
    <t>Note für die Teilleistung</t>
  </si>
  <si>
    <t>Gewicht</t>
  </si>
  <si>
    <t>Note
gewichtet</t>
  </si>
  <si>
    <t>Note der Arbeit</t>
  </si>
  <si>
    <t>Ort, Datum</t>
  </si>
  <si>
    <t>Koreferent / Koreferentin</t>
  </si>
  <si>
    <t>Bewertungskriterien einer produktorientierten MA</t>
  </si>
  <si>
    <t>Thema</t>
  </si>
  <si>
    <t>Kommentar</t>
  </si>
  <si>
    <t>Noten</t>
  </si>
  <si>
    <t>Gewichtung</t>
  </si>
  <si>
    <t>Produkt (50 - 60%)</t>
  </si>
  <si>
    <t>Die Ziele sind klar definiert und realistisch erreichbar.</t>
  </si>
  <si>
    <t>Handwerklich und gestalterisch überzeugende Umsetzung</t>
  </si>
  <si>
    <t>Gelungenes Produkt / Zielerreichung</t>
  </si>
  <si>
    <t>Originalität / Kreativität</t>
  </si>
  <si>
    <t>Arbeitsbericht / Theorieteil (20 - 25%)</t>
  </si>
  <si>
    <t>Der Text ist sinnvoll und stringent strukturiert. Der Umfang der Maturaarbeit entspricht den Vereinbarungen bzw. Anforderungen.</t>
  </si>
  <si>
    <t>Die Sprache ist korrekt und verständlich. Sie wird dem Thema und dem Fachgebiet gerecht.</t>
  </si>
  <si>
    <t>Die Quellenangaben (inkl. Deklaration einer Verwendung von KI/LLM) sind vollständig, nachvollziehbar und korrekt.</t>
  </si>
  <si>
    <t>Die Gestaltung ist ansprechend und sorgfältig.</t>
  </si>
  <si>
    <t>Arbeitsprozess (20 - 25%)</t>
  </si>
  <si>
    <t>Transparenz des Arbeitsprozesses (inkl. Teilschritten) und seiner Dokumentation</t>
  </si>
  <si>
    <t xml:space="preserve">Initiatives Arbeitsverhalten, gut vorbereitete Besprechungen, eingehaltene Termine mit Lehrperson </t>
  </si>
  <si>
    <t>Differenzierte Reflexion des Arbeitsprozesses</t>
  </si>
  <si>
    <t>Note</t>
  </si>
  <si>
    <t>Bewertungskriterien einer experimentellen MA</t>
  </si>
  <si>
    <t>Inhalt (50 - 60%)</t>
  </si>
  <si>
    <t>Eigene und klar eingegrenzte Forschungsfrage(n), durch die ein bedeutsames und überprüfbares Experiment ermöglicht wird. Wahl einer zur Fragestellung passenden Methodik.</t>
  </si>
  <si>
    <t>Literatur: Die für die Fragestellung/Ziele relevanten Theorien und Untersuchungen werden vorgestellt, verglichen und eingeordnet.</t>
  </si>
  <si>
    <t>Saubere Durchführung und Auswertung des Experiments</t>
  </si>
  <si>
    <t>Zielführende und auf Fragestellung(en) fokussierte Diskussion der Resultate</t>
  </si>
  <si>
    <t>Sachliche, fachliche und logische Korrektheit</t>
  </si>
  <si>
    <t>Theorieteil (20 - 25%)</t>
  </si>
  <si>
    <t>Transparenz des Arbeitsprozesses (inkl. Teilschritten) und seiner Dokumentation (Arbeitsjournal)</t>
  </si>
  <si>
    <t>Bewertungskriterien einer geistes- und sozialwissenschaftlichorientierten MA</t>
  </si>
  <si>
    <t>Eigene und klar eingegrenzte Forschungsfrage(n), durch die eine bedeutsame und überprüfbare Eigenleistung ermöglicht wird. Wahl einer zur Fragestellung passenden Methodik.</t>
  </si>
  <si>
    <t>Gelungene Durchführung der wissenschaftlichen Methode(n).</t>
  </si>
  <si>
    <t>Transparente, bedeutsame und überprüfbare Eigenleistung</t>
  </si>
  <si>
    <t>Form (20 - 25%)</t>
  </si>
  <si>
    <t>Bewertungskriterien einer MA in bildnerischem Gestalten</t>
  </si>
  <si>
    <t>Praktischer Teil (50 - 60%)</t>
  </si>
  <si>
    <t>Arbeitstagebuch:
Der Arbeitsprozess ist nachvollziehbar.
Die visuelle Gestaltung ist ansprechend.
Die Auseinandersetzung mit dem Thema ist intensiv und
reichhaltig.</t>
  </si>
  <si>
    <t>Sie sind kreativ, prüfen Ideen und probieren aus.
Sie sind offen für Neues.</t>
  </si>
  <si>
    <t>Ihre Arbeit überzeugt im künstlerischen Ausdruck und in
der visuellen Sprache.</t>
  </si>
  <si>
    <t>Sie zeigen handwerkliches und technisches Können.</t>
  </si>
  <si>
    <t>Sie haben das Thema inhaltlich und gestalterisch in angemessener Breite und adäquatem Umfang behandelt.</t>
  </si>
  <si>
    <t>Individuelles Kriterium zum Produkt, wie zum Beispiel:
Die Sprachgestaltung der Texte ist überzeugend.
Das Layout ist gekonnt gestaltet, etc.
Falls sich kein weiterers Kriterium anbietet, kann der
Durchschnitt der ersten drei Kriterien zum Produkt verwendet werden.</t>
  </si>
  <si>
    <t>Theorie Teil (30 - 40%)</t>
  </si>
  <si>
    <t>Ihre Überlegungen, Erfahrungen und essentiellen
Arbeitsschritte sind nachvollziehbar und interessant
dargelegt.
Sie zeigen die Fähigkeit kritischer Selbsteinschätzung
bezüglich Arbeitsweise und Produkt.
Sie stellen Ihr Produkt in Bezug zum Kontext (Theorie)</t>
  </si>
  <si>
    <t>Sie erfassen Ihr Thema in angemessener Breite.
Sie überzeugen mit gehaltvollem Inhalt.</t>
  </si>
  <si>
    <t>Kreativität</t>
  </si>
  <si>
    <t>Sie gliedern die Arbeit übersichtlich und logisch.
Sie legen Wert auf ein sorgfältiges Layout.
Zitate und Quellen sind korrekt angegeben.
Der Text ist grammatikalisch und orthografisch korrekt.
Sie verfügen über ein adäquates Fachvokabular.
Sie pflegen einen leicht verständlichen und gepflegten
Schreibstil.</t>
  </si>
  <si>
    <t>Arbeitsprozess (10 - 20%)</t>
  </si>
  <si>
    <t>Sie haben selbständig gearbeitet.
Sie können sich gut selbst einschätzen.
Sie sind gut organisiert.</t>
  </si>
  <si>
    <t>01</t>
  </si>
  <si>
    <t>ExperimentelleMA</t>
  </si>
  <si>
    <t>02</t>
  </si>
  <si>
    <t>GeistesUndSozialMA</t>
  </si>
  <si>
    <t>03</t>
  </si>
  <si>
    <t>BGMA</t>
  </si>
  <si>
    <t>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</si>
</sst>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Aptos Narrow"/>
      <family val="2"/>
      <scheme val="minor"/>
    </font>
    <font>
      <b/>
      <sz val="16"/>
      <color theme="0"/>
      <name val="Aptos Narrow"/>
      <family val="2"/>
      <scheme val="minor"/>
    </font>
    <font>
      <b/>
      <sz val="11"/>
      <color theme="1"/>
      <name val="Aptos Narrow"/>
      <family val="2"/>
      <scheme val="minor"/>
    </font>
  </fonts>
  <fills count="3">
    <fill>
      <patternFill patternType="none"/>
    </fill>
    <fill>
      <patternFill patternType="gray125"/>
    </fill>
    <fill>
      <patternFill patternType="solid">
        <fgColor theme="3" tint="0.249977111117893"/>
        <bgColor indexed="64"/>
      </patternFill>
    </fill>
  </fills>
  <borders count="13">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diagonal/>
    </border>
  </borders>
  <cellStyleXfs count="1">
    <xf numFmtId="0" fontId="0" fillId="0" borderId="0"/>
  </cellStyleXfs>
  <cellXfs count="45">
    <xf numFmtId="0" fontId="0" fillId="0" borderId="0" xfId="0"/>
    <xf numFmtId="0" fontId="0" fillId="0" borderId="1" xfId="0" applyBorder="1"/>
    <xf numFmtId="0" fontId="0" fillId="0" borderId="2"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2" fontId="0" fillId="0" borderId="3" xfId="0" applyNumberFormat="1" applyBorder="1"/>
    <xf numFmtId="0" fontId="2" fillId="0" borderId="7" xfId="0" applyFont="1" applyBorder="1" applyAlignment="1">
      <alignment wrapText="1"/>
    </xf>
    <xf numFmtId="0" fontId="2" fillId="0" borderId="1" xfId="0" applyFont="1" applyBorder="1"/>
    <xf numFmtId="9" fontId="0" fillId="0" borderId="3" xfId="0" applyNumberFormat="1" applyBorder="1" applyAlignment="1">
      <alignment wrapText="1"/>
    </xf>
    <xf numFmtId="2" fontId="0" fillId="0" borderId="2" xfId="0" applyNumberFormat="1" applyBorder="1"/>
    <xf numFmtId="2" fontId="0" fillId="0" borderId="5" xfId="0" applyNumberFormat="1" applyBorder="1"/>
    <xf numFmtId="2" fontId="2" fillId="0" borderId="2" xfId="0" applyNumberFormat="1" applyFont="1" applyBorder="1" applyAlignment="1">
      <alignment wrapText="1"/>
    </xf>
    <xf numFmtId="0" fontId="0" fillId="0" borderId="4" xfId="0" applyBorder="1" applyAlignment="1">
      <alignment wrapText="1"/>
    </xf>
    <xf numFmtId="0" fontId="0" fillId="0" borderId="0" xfId="0" applyAlignment="1">
      <alignment wrapText="1"/>
    </xf>
    <xf numFmtId="0" fontId="0" fillId="0" borderId="0" xfId="0" quotePrefix="1"/>
    <xf numFmtId="2" fontId="0" fillId="0" borderId="0" xfId="0" applyNumberFormat="1"/>
    <xf numFmtId="0" fontId="2" fillId="0" borderId="9" xfId="0" applyFont="1" applyBorder="1"/>
    <xf numFmtId="0" fontId="2" fillId="0" borderId="10" xfId="0" applyFont="1" applyBorder="1"/>
    <xf numFmtId="0" fontId="2" fillId="0" borderId="11" xfId="0" applyFont="1" applyBorder="1"/>
    <xf numFmtId="0" fontId="2" fillId="0" borderId="1" xfId="0" applyFont="1" applyBorder="1" applyAlignment="1">
      <alignment wrapText="1"/>
    </xf>
    <xf numFmtId="0" fontId="0" fillId="0" borderId="6" xfId="0" applyBorder="1" applyAlignment="1">
      <alignment wrapText="1"/>
    </xf>
    <xf numFmtId="49" fontId="0" fillId="0" borderId="0" xfId="0" applyNumberFormat="1"/>
    <xf numFmtId="9" fontId="0" fillId="0" borderId="10" xfId="0" applyNumberFormat="1" applyBorder="1" applyAlignment="1">
      <alignment horizontal="center" vertical="center" wrapText="1" indent="5"/>
    </xf>
    <xf numFmtId="9" fontId="0" fillId="0" borderId="0" xfId="0" applyNumberFormat="1" applyAlignment="1">
      <alignment horizontal="center" vertical="center" wrapText="1" indent="5"/>
    </xf>
    <xf numFmtId="0" fontId="0" fillId="0" borderId="0" xfId="0" applyAlignment="1">
      <alignment horizontal="center"/>
    </xf>
    <xf numFmtId="0" fontId="0" fillId="0" borderId="0" xfId="0" applyAlignment="1">
      <alignment horizontal="left"/>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0" fillId="0" borderId="0" xfId="0" applyAlignment="1">
      <alignment horizont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12" xfId="0" applyBorder="1" applyAlignment="1">
      <alignment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xf>
    <xf numFmtId="0" fontId="2" fillId="0" borderId="3" xfId="0" applyFont="1" applyBorder="1" applyAlignment="1">
      <alignment horizontal="center" vertical="center" wrapText="1"/>
    </xf>
    <xf numFmtId="0" fontId="0" fillId="0" borderId="1" xfId="0" applyBorder="1" applyAlignment="1"/>
    <xf numFmtId="0" fontId="0" fillId="0" borderId="2" xfId="0" applyBorder="1" applyAlignment="1"/>
    <xf numFmtId="0" fontId="0" fillId="0" borderId="4" xfId="0" applyBorder="1" applyAlignment="1"/>
    <xf numFmtId="0" fontId="0" fillId="0" borderId="0" xfId="0" applyAlignment="1"/>
  </cellXfs>
  <cellStyles count="1">
    <cellStyle name="Standard" xfId="0" builtinId="0"/>
  </cellStyles>
  <dxfs count="16">
    <dxf>
      <fill>
        <patternFill>
          <bgColor rgb="FFFFC7CE"/>
        </patternFill>
      </fill>
    </dxf>
    <dxf>
      <fill>
        <patternFill>
          <bgColor rgb="FFFFC7CE"/>
        </patternFill>
      </fill>
    </dxf>
    <dxf>
      <fill>
        <patternFill>
          <bgColor rgb="FFFFC7CE"/>
        </patternFill>
      </fill>
    </dxf>
    <dxf>
      <font>
        <color rgb="FF9C5700"/>
      </font>
      <fill>
        <patternFill>
          <bgColor rgb="FFFFEB9C"/>
        </patternFill>
      </fill>
    </dxf>
    <dxf>
      <fill>
        <patternFill>
          <bgColor rgb="FFFFC7CE"/>
        </patternFill>
      </fill>
    </dxf>
    <dxf>
      <fill>
        <patternFill>
          <bgColor rgb="FFFFC7CE"/>
        </patternFill>
      </fill>
    </dxf>
    <dxf>
      <fill>
        <patternFill>
          <bgColor rgb="FFFFC7CE"/>
        </patternFill>
      </fill>
    </dxf>
    <dxf>
      <font>
        <color rgb="FF9C5700"/>
      </font>
      <fill>
        <patternFill>
          <bgColor rgb="FFFFEB9C"/>
        </patternFill>
      </fill>
    </dxf>
    <dxf>
      <fill>
        <patternFill>
          <bgColor rgb="FFFFC7CE"/>
        </patternFill>
      </fill>
    </dxf>
    <dxf>
      <fill>
        <patternFill>
          <bgColor rgb="FFFFC7CE"/>
        </patternFill>
      </fill>
    </dxf>
    <dxf>
      <font>
        <color rgb="FF9C5700"/>
      </font>
      <fill>
        <patternFill>
          <bgColor rgb="FFFFEB9C"/>
        </patternFill>
      </fill>
    </dxf>
    <dxf>
      <fill>
        <patternFill>
          <bgColor rgb="FFFFC7CE"/>
        </patternFill>
      </fill>
    </dxf>
    <dxf>
      <fill>
        <patternFill>
          <bgColor rgb="FFFFC7CE"/>
        </patternFill>
      </fill>
    </dxf>
    <dxf>
      <fill>
        <patternFill>
          <bgColor rgb="FFFFC7CE"/>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A77AD-7BE5-4C19-A345-BDF04A70352B}">
  <sheetPr>
    <pageSetUpPr fitToPage="1"/>
  </sheetPr>
  <dimension ref="A1:G26"/>
  <sheetViews>
    <sheetView tabSelected="1" workbookViewId="0">
      <selection activeCell="D25" sqref="D25"/>
    </sheetView>
  </sheetViews>
  <sheetFormatPr defaultColWidth="8.7109375" defaultRowHeight="14.45"/>
  <cols>
    <col min="1" max="1" width="29.42578125" customWidth="1"/>
    <col min="2" max="2" width="12.42578125" customWidth="1"/>
    <col min="3" max="3" width="31.42578125" customWidth="1"/>
    <col min="4" max="4" width="11.85546875" customWidth="1"/>
    <col min="5" max="5" width="21.5703125" customWidth="1"/>
    <col min="7" max="7" width="36.5703125" bestFit="1" customWidth="1"/>
  </cols>
  <sheetData>
    <row r="1" spans="1:7" ht="21">
      <c r="A1" s="29" t="s">
        <v>0</v>
      </c>
      <c r="B1" s="30"/>
      <c r="C1" s="30"/>
      <c r="D1" s="30"/>
      <c r="E1" s="31"/>
    </row>
    <row r="2" spans="1:7" ht="21">
      <c r="A2" s="29" t="s">
        <v>1</v>
      </c>
      <c r="B2" s="30"/>
      <c r="C2" s="30"/>
      <c r="D2" s="30"/>
      <c r="E2" s="31"/>
    </row>
    <row r="4" spans="1:7">
      <c r="A4" t="s">
        <v>2</v>
      </c>
      <c r="B4" s="28"/>
      <c r="C4" s="28"/>
      <c r="D4" t="s">
        <v>3</v>
      </c>
    </row>
    <row r="6" spans="1:7" ht="30" customHeight="1">
      <c r="A6" t="s">
        <v>4</v>
      </c>
      <c r="B6" s="27"/>
      <c r="C6" s="27"/>
      <c r="D6" s="27"/>
      <c r="E6" s="27"/>
      <c r="G6" s="17"/>
    </row>
    <row r="8" spans="1:7">
      <c r="A8" t="s">
        <v>5</v>
      </c>
      <c r="B8" s="27"/>
      <c r="C8" s="27"/>
      <c r="D8" s="27"/>
      <c r="E8" s="27"/>
      <c r="G8" s="24"/>
    </row>
    <row r="9" spans="1:7">
      <c r="G9" s="24"/>
    </row>
    <row r="10" spans="1:7">
      <c r="A10" t="s">
        <v>6</v>
      </c>
      <c r="B10" s="28"/>
      <c r="C10" s="28"/>
      <c r="D10" s="28"/>
      <c r="E10" s="28"/>
    </row>
    <row r="12" spans="1:7">
      <c r="A12" t="s">
        <v>7</v>
      </c>
      <c r="B12" s="27" t="s">
        <v>8</v>
      </c>
      <c r="C12" s="27"/>
      <c r="D12" s="27"/>
      <c r="E12" s="27"/>
    </row>
    <row r="13" spans="1:7" ht="15"/>
    <row r="14" spans="1:7" ht="29.25">
      <c r="A14" s="1"/>
      <c r="B14" s="2"/>
      <c r="C14" s="38" t="s">
        <v>9</v>
      </c>
      <c r="D14" s="39" t="s">
        <v>10</v>
      </c>
      <c r="E14" s="40" t="s">
        <v>11</v>
      </c>
    </row>
    <row r="15" spans="1:7" ht="30" customHeight="1">
      <c r="A15" s="41" t="str">
        <f ca="1">"1. "&amp;INDEX(INDIRECT("Inhalt"&amp;VLOOKUP(B12, Hilfstabelle!A1:B4, 2, FALSE)), 1, 1)</f>
        <v>1. Produkt (50 - 60%)</v>
      </c>
      <c r="B15" s="42"/>
      <c r="C15" s="12">
        <f ca="1">INDEX(INDIRECT("Inhalt"&amp;VLOOKUP(B12, Hilfstabelle!A1:B4, 2, FALSE)), 1, 3)</f>
        <v>0</v>
      </c>
      <c r="D15" s="26">
        <f ca="1">INDEX(INDIRECT("Inhalt"&amp;VLOOKUP(B12, Hilfstabelle!A1:B4, 2, FALSE)), 1, 4)</f>
        <v>0.5</v>
      </c>
      <c r="E15" s="8">
        <f ca="1">C15*D15</f>
        <v>0</v>
      </c>
    </row>
    <row r="16" spans="1:7" ht="29.25" customHeight="1">
      <c r="A16" s="43" t="str">
        <f ca="1">"2. "&amp;INDEX(INDIRECT("Theorie"&amp;VLOOKUP(B12, Hilfstabelle!A1:B4, 2, FALSE)), 1, 1)</f>
        <v>2. Arbeitsbericht / Theorieteil (20 - 25%)</v>
      </c>
      <c r="B16" s="44"/>
      <c r="C16" s="18">
        <f ca="1">INDEX(INDIRECT("Theorie"&amp;VLOOKUP(B12, Hilfstabelle!A1:B4, 2, FALSE)), 1, 3)</f>
        <v>0</v>
      </c>
      <c r="D16" s="26">
        <f ca="1">INDEX(INDIRECT("Theorie"&amp;VLOOKUP(B12, Hilfstabelle!A1:B4, 2, FALSE)), 1, 4)</f>
        <v>0.25</v>
      </c>
      <c r="E16" s="13">
        <f t="shared" ref="E16:E17" ca="1" si="0">C16*D16</f>
        <v>0</v>
      </c>
    </row>
    <row r="17" spans="1:7" ht="30" customHeight="1">
      <c r="A17" s="43" t="str">
        <f ca="1">"3. "&amp;INDEX(INDIRECT("Prozess"&amp;VLOOKUP(B12, Hilfstabelle!A1:B4, 2, FALSE)), 1, 1)</f>
        <v>3. Arbeitsprozess (20 - 25%)</v>
      </c>
      <c r="B17" s="44"/>
      <c r="C17" s="18">
        <f ca="1">INDEX(INDIRECT("Prozess"&amp;VLOOKUP(B12, Hilfstabelle!A1:B4, 2, FALSE)), 1, 3)</f>
        <v>0</v>
      </c>
      <c r="D17" s="26">
        <f ca="1">INDEX(INDIRECT("Prozess"&amp;VLOOKUP(B12, Hilfstabelle!A1:B4, 2, FALSE)), 1, 4)</f>
        <v>0.25</v>
      </c>
      <c r="E17" s="13">
        <f t="shared" ca="1" si="0"/>
        <v>0</v>
      </c>
    </row>
    <row r="18" spans="1:7" ht="28.5" customHeight="1">
      <c r="A18" s="19" t="s">
        <v>12</v>
      </c>
      <c r="B18" s="20"/>
      <c r="C18" s="20"/>
      <c r="D18" s="25">
        <f ca="1">SUM(D15:D17)</f>
        <v>1</v>
      </c>
      <c r="E18" s="21">
        <f ca="1">ROUND(SUM(E15:E17)/5,1)*5</f>
        <v>0</v>
      </c>
    </row>
    <row r="20" spans="1:7" ht="15"/>
    <row r="21" spans="1:7" ht="15"/>
    <row r="22" spans="1:7" ht="15">
      <c r="A22" t="s">
        <v>13</v>
      </c>
      <c r="C22" t="s">
        <v>5</v>
      </c>
      <c r="E22" s="16" t="s">
        <v>14</v>
      </c>
    </row>
    <row r="25" spans="1:7">
      <c r="G25" s="16"/>
    </row>
    <row r="26" spans="1:7" ht="15"/>
  </sheetData>
  <mergeCells count="10">
    <mergeCell ref="B4:C4"/>
    <mergeCell ref="B12:E12"/>
    <mergeCell ref="A2:E2"/>
    <mergeCell ref="A1:E1"/>
    <mergeCell ref="A15:B15"/>
    <mergeCell ref="A16:B16"/>
    <mergeCell ref="A17:B17"/>
    <mergeCell ref="B6:E6"/>
    <mergeCell ref="B8:E8"/>
    <mergeCell ref="B10:E10"/>
  </mergeCells>
  <conditionalFormatting sqref="B4 E4 B6 B8 B10 B12">
    <cfRule type="cellIs" dxfId="15" priority="1" operator="equal">
      <formula>""</formula>
    </cfRule>
  </conditionalFormatting>
  <dataValidations count="1">
    <dataValidation type="list" allowBlank="1" showInputMessage="1" showErrorMessage="1" sqref="B12:E12" xr:uid="{37AD19AA-E0E3-44A9-8803-85E9BD8C512C}">
      <formula1>"ProduktorientierteMA,ExperimentelleMA,GeistesUndSozialMA,BGMA"</formula1>
    </dataValidation>
  </dataValidation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9"/>
  <sheetViews>
    <sheetView workbookViewId="0">
      <selection activeCell="A12" sqref="A12"/>
    </sheetView>
  </sheetViews>
  <sheetFormatPr defaultColWidth="8.7109375" defaultRowHeight="14.45"/>
  <cols>
    <col min="1" max="1" width="52.42578125" customWidth="1"/>
    <col min="2" max="2" width="36.5703125" customWidth="1"/>
    <col min="3" max="3" width="6.140625" bestFit="1" customWidth="1"/>
    <col min="4" max="4" width="11" bestFit="1" customWidth="1"/>
    <col min="7" max="7" width="36.5703125" bestFit="1" customWidth="1"/>
  </cols>
  <sheetData>
    <row r="1" spans="1:7" ht="21">
      <c r="A1" s="29" t="s">
        <v>15</v>
      </c>
      <c r="B1" s="30"/>
      <c r="C1" s="30"/>
      <c r="D1" s="31"/>
    </row>
    <row r="2" spans="1:7" ht="15" thickBot="1">
      <c r="A2" s="3" t="s">
        <v>16</v>
      </c>
      <c r="B2" t="s">
        <v>17</v>
      </c>
      <c r="C2" t="s">
        <v>18</v>
      </c>
      <c r="D2" s="4" t="s">
        <v>19</v>
      </c>
    </row>
    <row r="3" spans="1:7" ht="15">
      <c r="A3" s="22" t="s">
        <v>20</v>
      </c>
      <c r="B3" s="2"/>
      <c r="C3" s="14" cm="1">
        <f t="array" aca="1" ref="C3" ca="1">_xludf.Note(Inhalt01)</f>
        <v>0</v>
      </c>
      <c r="D3" s="11" cm="1">
        <f t="array" aca="1" ref="D3" ca="1">Gewichtung("01", "Inhalt")</f>
        <v>0.5</v>
      </c>
      <c r="F3" s="32" t="str">
        <f ca="1">IF(OR(D3&lt;0.5, D3&gt;0.6), "Achtung: Gewichtung für das Produkt ist nicht im vorgesehenen Bereich", "")</f>
        <v/>
      </c>
    </row>
    <row r="4" spans="1:7" ht="15">
      <c r="A4" s="16" t="s">
        <v>21</v>
      </c>
      <c r="D4" s="4">
        <v>1</v>
      </c>
      <c r="F4" s="32"/>
    </row>
    <row r="5" spans="1:7" ht="15">
      <c r="A5" s="15" t="s">
        <v>22</v>
      </c>
      <c r="D5" s="4">
        <v>2</v>
      </c>
      <c r="F5" s="32"/>
    </row>
    <row r="6" spans="1:7" ht="15">
      <c r="A6" s="15" t="s">
        <v>23</v>
      </c>
      <c r="D6" s="4">
        <v>3</v>
      </c>
      <c r="F6" s="32"/>
    </row>
    <row r="7" spans="1:7">
      <c r="A7" s="15" t="s">
        <v>24</v>
      </c>
      <c r="D7" s="4">
        <v>2</v>
      </c>
      <c r="F7" s="32"/>
    </row>
    <row r="8" spans="1:7">
      <c r="A8" s="10" t="s">
        <v>25</v>
      </c>
      <c r="B8" s="2"/>
      <c r="C8" s="14" cm="1">
        <f t="array" aca="1" ref="C8" ca="1">_xludf.Note(Theorie01)</f>
        <v>0</v>
      </c>
      <c r="D8" s="11" cm="1">
        <f t="array" aca="1" ref="D8" ca="1">Gewichtung("01", "Theorie")</f>
        <v>0.25</v>
      </c>
      <c r="F8" s="32" t="str">
        <f ca="1">IF(OR(D8&lt;0.2, D8&gt;0.25), "Achtung: Gewichtung für den theoretischen Teil ist nicht im vorgesehenen Bereich", "")</f>
        <v/>
      </c>
    </row>
    <row r="9" spans="1:7" ht="43.5">
      <c r="A9" s="15" t="s">
        <v>26</v>
      </c>
      <c r="D9" s="4">
        <v>1</v>
      </c>
      <c r="F9" s="32"/>
      <c r="G9" s="16"/>
    </row>
    <row r="10" spans="1:7" ht="29.25">
      <c r="A10" s="15" t="s">
        <v>27</v>
      </c>
      <c r="D10" s="4">
        <v>1</v>
      </c>
      <c r="F10" s="32"/>
    </row>
    <row r="11" spans="1:7" ht="29.25">
      <c r="A11" s="15" t="s">
        <v>28</v>
      </c>
      <c r="D11" s="4">
        <v>1</v>
      </c>
      <c r="F11" s="32"/>
      <c r="G11" s="16"/>
    </row>
    <row r="12" spans="1:7" ht="15">
      <c r="A12" s="15" t="s">
        <v>29</v>
      </c>
      <c r="D12" s="4">
        <v>1</v>
      </c>
      <c r="F12" s="32"/>
    </row>
    <row r="13" spans="1:7">
      <c r="A13" s="10" t="s">
        <v>30</v>
      </c>
      <c r="B13" s="2"/>
      <c r="C13" s="14" cm="1">
        <f t="array" aca="1" ref="C13" ca="1">_xludf.Note(Prozess01)</f>
        <v>0</v>
      </c>
      <c r="D13" s="11" cm="1">
        <f t="array" aca="1" ref="D13" ca="1">Gewichtung("01", "Prozess")</f>
        <v>0.25</v>
      </c>
      <c r="F13" s="32" t="str">
        <f ca="1">IF(OR(D13&lt;0.2, D13&gt;0.25), "Achtung: Gewichtung für den Arbeitsprozess ist nicht im vorgesehenen Bereich", "")</f>
        <v/>
      </c>
    </row>
    <row r="14" spans="1:7" ht="29.1">
      <c r="A14" s="15" t="s">
        <v>31</v>
      </c>
      <c r="D14" s="4">
        <v>1</v>
      </c>
      <c r="F14" s="32"/>
    </row>
    <row r="15" spans="1:7" ht="29.25">
      <c r="A15" s="15" t="s">
        <v>32</v>
      </c>
      <c r="D15" s="4">
        <v>2</v>
      </c>
      <c r="F15" s="32"/>
    </row>
    <row r="16" spans="1:7" ht="15">
      <c r="A16" s="23" t="s">
        <v>33</v>
      </c>
      <c r="B16" s="6"/>
      <c r="C16" s="6"/>
      <c r="D16" s="7">
        <v>1</v>
      </c>
      <c r="F16" s="32"/>
    </row>
    <row r="17" spans="1:4">
      <c r="A17" s="3"/>
      <c r="D17" s="4"/>
    </row>
    <row r="18" spans="1:4">
      <c r="A18" s="5" t="s">
        <v>34</v>
      </c>
      <c r="B18" s="6"/>
      <c r="C18" s="9">
        <f ca="1">ROUND(SUM(C3*D3, C8*D8, C13*D13)/5, 1)*5</f>
        <v>0</v>
      </c>
      <c r="D18" s="7"/>
    </row>
    <row r="19" spans="1:4" ht="15"/>
  </sheetData>
  <mergeCells count="4">
    <mergeCell ref="F3:F7"/>
    <mergeCell ref="F8:F12"/>
    <mergeCell ref="F13:F16"/>
    <mergeCell ref="A1:D1"/>
  </mergeCells>
  <conditionalFormatting sqref="B4:C7 B14:C16 B9:C12">
    <cfRule type="cellIs" dxfId="14" priority="3" operator="equal">
      <formula>""</formula>
    </cfRule>
  </conditionalFormatting>
  <conditionalFormatting sqref="F3">
    <cfRule type="cellIs" dxfId="13" priority="4" operator="notEqual">
      <formula>""</formula>
    </cfRule>
  </conditionalFormatting>
  <conditionalFormatting sqref="F8">
    <cfRule type="cellIs" dxfId="12" priority="2" operator="notEqual">
      <formula>""</formula>
    </cfRule>
  </conditionalFormatting>
  <conditionalFormatting sqref="F13">
    <cfRule type="cellIs" dxfId="11" priority="1" operator="notEqual">
      <formula>""</formula>
    </cfRule>
  </conditionalFormatting>
  <dataValidations count="2">
    <dataValidation type="list" allowBlank="1" showInputMessage="1" showErrorMessage="1" sqref="C5:C7" xr:uid="{D10DE873-AC6A-4201-A544-56827AA5AA84}">
      <formula1>"6,5.5,5,4.5,4,3.5,3,2.5,2,1.5,1"</formula1>
    </dataValidation>
    <dataValidation type="list" showInputMessage="1" showErrorMessage="1" sqref="C4 C14:C16 C9:C12" xr:uid="{E3122A67-ED1A-47B3-94DC-AB2C554E5ADA}">
      <formula1>",6,5.5,5,4.5,4,3.5,3,2.5,2,1.5,1"</formula1>
    </dataValidation>
  </dataValidations>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3B62C-DF15-46CD-9BC9-7F4B34EB247E}">
  <sheetPr>
    <pageSetUpPr fitToPage="1"/>
  </sheetPr>
  <dimension ref="A1:F19"/>
  <sheetViews>
    <sheetView workbookViewId="0">
      <selection activeCell="A25" sqref="A25"/>
    </sheetView>
  </sheetViews>
  <sheetFormatPr defaultColWidth="8.7109375" defaultRowHeight="15"/>
  <cols>
    <col min="1" max="1" width="59.85546875" customWidth="1"/>
    <col min="2" max="2" width="36.5703125" customWidth="1"/>
    <col min="3" max="3" width="6.140625" bestFit="1" customWidth="1"/>
    <col min="4" max="4" width="11" bestFit="1" customWidth="1"/>
    <col min="12" max="12" width="11.42578125" bestFit="1" customWidth="1"/>
    <col min="13" max="13" width="27.42578125" bestFit="1" customWidth="1"/>
  </cols>
  <sheetData>
    <row r="1" spans="1:6" ht="21">
      <c r="A1" s="29" t="s">
        <v>35</v>
      </c>
      <c r="B1" s="30"/>
      <c r="C1" s="30"/>
      <c r="D1" s="31"/>
    </row>
    <row r="2" spans="1:6">
      <c r="A2" s="3" t="s">
        <v>16</v>
      </c>
      <c r="B2" t="s">
        <v>17</v>
      </c>
      <c r="C2" t="s">
        <v>18</v>
      </c>
      <c r="D2" s="4" t="s">
        <v>19</v>
      </c>
    </row>
    <row r="3" spans="1:6">
      <c r="A3" s="10" t="s">
        <v>36</v>
      </c>
      <c r="B3" s="2"/>
      <c r="C3" s="14" cm="1">
        <f t="array" aca="1" ref="C3" ca="1">_xludf.Note(Inhalt02)</f>
        <v>0</v>
      </c>
      <c r="D3" s="11" cm="1">
        <f t="array" aca="1" ref="D3" ca="1">Gewichtung("02", "Inhalt")</f>
        <v>0.52941176470588236</v>
      </c>
      <c r="F3" s="32" t="str">
        <f ca="1">IF(OR(D3&lt;0.5, D3&gt;0.6), "Achtung: Gewichtung für den Inhalt ist nicht im vorgesehenen Bereich", "")</f>
        <v/>
      </c>
    </row>
    <row r="4" spans="1:6" ht="43.5">
      <c r="A4" s="15" t="s">
        <v>37</v>
      </c>
      <c r="D4" s="4">
        <v>2</v>
      </c>
      <c r="F4" s="32"/>
    </row>
    <row r="5" spans="1:6" ht="29.25">
      <c r="A5" s="15" t="s">
        <v>38</v>
      </c>
      <c r="D5" s="4">
        <v>1</v>
      </c>
      <c r="F5" s="32"/>
    </row>
    <row r="6" spans="1:6">
      <c r="A6" s="15" t="s">
        <v>39</v>
      </c>
      <c r="D6" s="4">
        <v>2</v>
      </c>
      <c r="F6" s="32"/>
    </row>
    <row r="7" spans="1:6" ht="29.25">
      <c r="A7" s="15" t="s">
        <v>40</v>
      </c>
      <c r="D7" s="4">
        <v>2</v>
      </c>
      <c r="F7" s="32"/>
    </row>
    <row r="8" spans="1:6">
      <c r="A8" s="15" t="s">
        <v>41</v>
      </c>
      <c r="D8" s="4">
        <v>2</v>
      </c>
      <c r="F8" s="32" t="str">
        <f ca="1">IF(OR(D9&lt;0.2, D9&gt;0.25), "Achtung: Gewichtung für den theoretischen Teil ist nicht im vorgesehenen Bereich", "")</f>
        <v/>
      </c>
    </row>
    <row r="9" spans="1:6">
      <c r="A9" s="10" t="s">
        <v>42</v>
      </c>
      <c r="B9" s="2"/>
      <c r="C9" s="14" cm="1">
        <f t="array" aca="1" ref="C9" ca="1">_xludf.Note(Theorie02)</f>
        <v>0</v>
      </c>
      <c r="D9" s="11" cm="1">
        <f t="array" aca="1" ref="D9" ca="1">Gewichtung("02", "Theorie")</f>
        <v>0.23529411764705882</v>
      </c>
      <c r="F9" s="32"/>
    </row>
    <row r="10" spans="1:6" ht="29.25">
      <c r="A10" s="15" t="s">
        <v>26</v>
      </c>
      <c r="D10" s="4">
        <v>1</v>
      </c>
      <c r="F10" s="32"/>
    </row>
    <row r="11" spans="1:6" ht="29.25">
      <c r="A11" s="15" t="s">
        <v>27</v>
      </c>
      <c r="D11" s="4">
        <v>1</v>
      </c>
      <c r="F11" s="32"/>
    </row>
    <row r="12" spans="1:6" ht="29.25">
      <c r="A12" s="15" t="s">
        <v>28</v>
      </c>
      <c r="D12" s="4">
        <v>1</v>
      </c>
      <c r="F12" s="32"/>
    </row>
    <row r="13" spans="1:6">
      <c r="A13" s="15" t="s">
        <v>29</v>
      </c>
      <c r="D13" s="4">
        <v>1</v>
      </c>
      <c r="F13" s="32"/>
    </row>
    <row r="14" spans="1:6">
      <c r="A14" s="10" t="s">
        <v>30</v>
      </c>
      <c r="B14" s="2"/>
      <c r="C14" s="14" cm="1">
        <f t="array" aca="1" ref="C14" ca="1">_xludf.Note(Prozess02)</f>
        <v>0</v>
      </c>
      <c r="D14" s="11" cm="1">
        <f t="array" aca="1" ref="D14" ca="1">Gewichtung("02", "Prozess")</f>
        <v>0.23529411764705882</v>
      </c>
      <c r="F14" s="32"/>
    </row>
    <row r="15" spans="1:6" ht="29.25">
      <c r="A15" s="15" t="s">
        <v>43</v>
      </c>
      <c r="D15" s="4">
        <v>1</v>
      </c>
      <c r="F15" s="32"/>
    </row>
    <row r="16" spans="1:6" ht="29.25">
      <c r="A16" s="15" t="s">
        <v>32</v>
      </c>
      <c r="D16" s="4">
        <v>2</v>
      </c>
      <c r="F16" s="32"/>
    </row>
    <row r="17" spans="1:4">
      <c r="A17" s="23" t="s">
        <v>33</v>
      </c>
      <c r="B17" s="6"/>
      <c r="C17" s="6"/>
      <c r="D17" s="7">
        <v>1</v>
      </c>
    </row>
    <row r="18" spans="1:4">
      <c r="A18" s="3"/>
      <c r="D18" s="4"/>
    </row>
    <row r="19" spans="1:4">
      <c r="A19" s="5" t="s">
        <v>34</v>
      </c>
      <c r="B19" s="6"/>
      <c r="C19" s="9">
        <f ca="1">ROUND(SUM(C3*D3, C9*D9, C14*D14)/5, 1)*5</f>
        <v>0</v>
      </c>
      <c r="D19" s="7"/>
    </row>
  </sheetData>
  <mergeCells count="4">
    <mergeCell ref="A1:D1"/>
    <mergeCell ref="F3:F7"/>
    <mergeCell ref="F8:F13"/>
    <mergeCell ref="F14:F16"/>
  </mergeCells>
  <conditionalFormatting sqref="B10:C13 B15:C17 B4:C8">
    <cfRule type="cellIs" dxfId="10" priority="4" operator="equal">
      <formula>""</formula>
    </cfRule>
  </conditionalFormatting>
  <conditionalFormatting sqref="F3">
    <cfRule type="cellIs" dxfId="9" priority="3" operator="notEqual">
      <formula>""</formula>
    </cfRule>
  </conditionalFormatting>
  <conditionalFormatting sqref="F8">
    <cfRule type="cellIs" dxfId="8" priority="2" operator="notEqual">
      <formula>""</formula>
    </cfRule>
  </conditionalFormatting>
  <dataValidations count="2">
    <dataValidation type="list" showInputMessage="1" showErrorMessage="1" sqref="C4 C10:C13 C15:C17" xr:uid="{43E9E981-F2CF-46FE-9464-C56036A8C213}">
      <formula1>",6,5.5,5,4.5,4,3.5,3,2.5,2,1.5,1"</formula1>
    </dataValidation>
    <dataValidation type="list" allowBlank="1" showInputMessage="1" showErrorMessage="1" sqref="C5:C8" xr:uid="{A235CAC1-BB39-49AD-BDB4-E436C29F051F}">
      <formula1>"6,5.5,5,4.5,4,3.5,3,2.5,2,1.5,1"</formula1>
    </dataValidation>
  </dataValidations>
  <pageMargins left="0.7" right="0.7" top="0.75" bottom="0.75" header="0.3" footer="0.3"/>
  <pageSetup paperSize="9"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7B20-2F92-4987-9564-58109FBF57A4}">
  <sheetPr>
    <pageSetUpPr fitToPage="1"/>
  </sheetPr>
  <dimension ref="A1:F20"/>
  <sheetViews>
    <sheetView workbookViewId="0">
      <selection activeCell="D3" sqref="D3"/>
    </sheetView>
  </sheetViews>
  <sheetFormatPr defaultColWidth="8.7109375" defaultRowHeight="15" customHeight="1"/>
  <cols>
    <col min="1" max="1" width="47.5703125" style="16" customWidth="1"/>
    <col min="2" max="2" width="36.28515625" customWidth="1"/>
    <col min="3" max="3" width="6.140625" bestFit="1" customWidth="1"/>
    <col min="4" max="4" width="11" bestFit="1" customWidth="1"/>
    <col min="6" max="6" width="18.5703125" customWidth="1"/>
  </cols>
  <sheetData>
    <row r="1" spans="1:6" ht="80.25" customHeight="1">
      <c r="A1" s="34" t="s">
        <v>44</v>
      </c>
      <c r="B1" s="35"/>
      <c r="C1" s="35"/>
      <c r="D1" s="36"/>
    </row>
    <row r="2" spans="1:6">
      <c r="A2" s="15" t="s">
        <v>16</v>
      </c>
      <c r="B2" t="s">
        <v>17</v>
      </c>
      <c r="C2" t="s">
        <v>18</v>
      </c>
      <c r="D2" s="4" t="s">
        <v>19</v>
      </c>
    </row>
    <row r="3" spans="1:6">
      <c r="A3" s="22" t="s">
        <v>36</v>
      </c>
      <c r="B3" s="2"/>
      <c r="C3" s="14" cm="1">
        <f t="array" aca="1" ref="C3" ca="1">_xludf.Note(Inhalt03)</f>
        <v>0</v>
      </c>
      <c r="D3" s="11" cm="1">
        <f t="array" aca="1" ref="D3" ca="1">Gewichtung("03", "Inhalt")</f>
        <v>0.5</v>
      </c>
      <c r="F3" s="33" t="str">
        <f ca="1">IF(OR(D3&lt;0.5, D3&gt;0.6), "Achtung: Gewichtung für den Inhalt ist nicht im vorgesehenen Bereich", "")</f>
        <v/>
      </c>
    </row>
    <row r="4" spans="1:6" ht="59.25" customHeight="1">
      <c r="A4" s="15" t="s">
        <v>45</v>
      </c>
      <c r="D4" s="4">
        <v>1</v>
      </c>
      <c r="F4" s="33"/>
    </row>
    <row r="5" spans="1:6" ht="43.5">
      <c r="A5" s="15" t="s">
        <v>38</v>
      </c>
      <c r="D5" s="4">
        <v>2</v>
      </c>
      <c r="F5" s="33"/>
    </row>
    <row r="6" spans="1:6" ht="29.25">
      <c r="A6" s="15" t="s">
        <v>46</v>
      </c>
      <c r="D6" s="4">
        <v>1</v>
      </c>
      <c r="F6" s="33"/>
    </row>
    <row r="7" spans="1:6" ht="29.25">
      <c r="A7" s="15" t="s">
        <v>47</v>
      </c>
      <c r="D7" s="4">
        <v>2</v>
      </c>
      <c r="F7" s="33"/>
    </row>
    <row r="8" spans="1:6" ht="29.25">
      <c r="A8" s="15" t="s">
        <v>40</v>
      </c>
      <c r="D8" s="4">
        <v>1</v>
      </c>
      <c r="F8" s="33"/>
    </row>
    <row r="9" spans="1:6">
      <c r="A9" s="15" t="s">
        <v>41</v>
      </c>
      <c r="D9" s="4">
        <v>1</v>
      </c>
      <c r="F9" s="33"/>
    </row>
    <row r="10" spans="1:6">
      <c r="A10" s="22" t="s">
        <v>48</v>
      </c>
      <c r="B10" s="2"/>
      <c r="C10" s="14" cm="1">
        <f t="array" aca="1" ref="C10" ca="1">_xludf.Note(Theorie03)</f>
        <v>0</v>
      </c>
      <c r="D10" s="11" cm="1">
        <f t="array" aca="1" ref="D10" ca="1">Gewichtung("03", "Theorie")</f>
        <v>0.25</v>
      </c>
      <c r="F10" s="33" t="str">
        <f ca="1">IF(OR(D10&lt;0.2, D10&gt;0.25), "Achtung: Gewichtung für Form ist nicht im vorgesehenen Bereich", "")</f>
        <v/>
      </c>
    </row>
    <row r="11" spans="1:6" ht="43.5">
      <c r="A11" s="15" t="s">
        <v>26</v>
      </c>
      <c r="D11" s="4">
        <v>1</v>
      </c>
      <c r="F11" s="33"/>
    </row>
    <row r="12" spans="1:6" ht="29.25">
      <c r="A12" s="15" t="s">
        <v>27</v>
      </c>
      <c r="D12" s="4">
        <v>1</v>
      </c>
      <c r="F12" s="33"/>
    </row>
    <row r="13" spans="1:6" ht="43.5">
      <c r="A13" s="15" t="s">
        <v>28</v>
      </c>
      <c r="D13" s="4">
        <v>1</v>
      </c>
      <c r="F13" s="33"/>
    </row>
    <row r="14" spans="1:6">
      <c r="A14" s="15" t="s">
        <v>29</v>
      </c>
      <c r="D14" s="4">
        <v>1</v>
      </c>
      <c r="F14" s="33"/>
    </row>
    <row r="15" spans="1:6">
      <c r="A15" s="22" t="s">
        <v>30</v>
      </c>
      <c r="B15" s="2"/>
      <c r="C15" s="14" cm="1">
        <f t="array" aca="1" ref="C15" ca="1">_xludf.Note(Prozess03)</f>
        <v>0</v>
      </c>
      <c r="D15" s="11" cm="1">
        <f t="array" aca="1" ref="D15" ca="1">Gewichtung("03", "Prozess")</f>
        <v>0.25</v>
      </c>
      <c r="F15" s="33" t="str">
        <f ca="1">IF(OR(D15&lt;0.2, D15&gt;0.25), "Achtung: Gewichtung für den Arbeitsprozess ist nicht im vorgesehenen Bereich", "")</f>
        <v/>
      </c>
    </row>
    <row r="16" spans="1:6" ht="29.25">
      <c r="A16" s="15" t="s">
        <v>43</v>
      </c>
      <c r="D16" s="4">
        <v>1</v>
      </c>
      <c r="F16" s="33"/>
    </row>
    <row r="17" spans="1:6" ht="29.25">
      <c r="A17" s="15" t="s">
        <v>32</v>
      </c>
      <c r="D17" s="4">
        <v>2</v>
      </c>
      <c r="F17" s="33"/>
    </row>
    <row r="18" spans="1:6">
      <c r="A18" s="23" t="s">
        <v>33</v>
      </c>
      <c r="B18" s="6"/>
      <c r="C18" s="6"/>
      <c r="D18" s="7">
        <v>1</v>
      </c>
      <c r="F18" s="33"/>
    </row>
    <row r="19" spans="1:6">
      <c r="A19" s="15"/>
      <c r="D19" s="4"/>
    </row>
    <row r="20" spans="1:6">
      <c r="A20" s="23" t="s">
        <v>34</v>
      </c>
      <c r="B20" s="6"/>
      <c r="C20" s="9">
        <f ca="1">ROUND(SUM(C3*D3, C10*D10, C15*D15)/5, 1)*5</f>
        <v>0</v>
      </c>
      <c r="D20" s="7"/>
    </row>
  </sheetData>
  <mergeCells count="4">
    <mergeCell ref="F3:F9"/>
    <mergeCell ref="F10:F14"/>
    <mergeCell ref="F15:F18"/>
    <mergeCell ref="A1:D1"/>
  </mergeCells>
  <conditionalFormatting sqref="B4:C9 B11:C14 B16:C18">
    <cfRule type="cellIs" dxfId="7" priority="3" operator="equal">
      <formula>""</formula>
    </cfRule>
  </conditionalFormatting>
  <conditionalFormatting sqref="F3">
    <cfRule type="cellIs" dxfId="6" priority="4" operator="notEqual">
      <formula>""</formula>
    </cfRule>
  </conditionalFormatting>
  <conditionalFormatting sqref="F10">
    <cfRule type="cellIs" dxfId="5" priority="2" operator="notEqual">
      <formula>""</formula>
    </cfRule>
  </conditionalFormatting>
  <conditionalFormatting sqref="F15">
    <cfRule type="cellIs" dxfId="4" priority="1" operator="notEqual">
      <formula>""</formula>
    </cfRule>
  </conditionalFormatting>
  <dataValidations count="2">
    <dataValidation type="list" showInputMessage="1" showErrorMessage="1" sqref="C4 C16:C18 C11:C14" xr:uid="{5D6E4106-7D8C-4BCF-A615-264CC594F576}">
      <formula1>",6,5.5,5,4.5,4,3.5,3,2.5,2,1.5,1"</formula1>
    </dataValidation>
    <dataValidation type="list" allowBlank="1" showInputMessage="1" showErrorMessage="1" sqref="C5:C9" xr:uid="{BD704F27-CB15-4C08-9939-D829EE2E02F1}">
      <formula1>"6,5.5,5,4.5,4,3.5,3,2.5,2,1.5,1"</formula1>
    </dataValidation>
  </dataValidations>
  <pageMargins left="0.7" right="0.7"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26952-E60A-494E-ABB6-105C31F93D02}">
  <sheetPr>
    <pageSetUpPr fitToPage="1"/>
  </sheetPr>
  <dimension ref="A1:F18"/>
  <sheetViews>
    <sheetView workbookViewId="0">
      <selection activeCell="A9" sqref="A9"/>
    </sheetView>
  </sheetViews>
  <sheetFormatPr defaultColWidth="8.7109375" defaultRowHeight="15"/>
  <cols>
    <col min="1" max="1" width="58.28515625" customWidth="1"/>
    <col min="2" max="2" width="36.5703125" customWidth="1"/>
    <col min="3" max="3" width="6.140625" bestFit="1" customWidth="1"/>
    <col min="4" max="4" width="11" bestFit="1" customWidth="1"/>
  </cols>
  <sheetData>
    <row r="1" spans="1:6" ht="21">
      <c r="A1" s="29" t="s">
        <v>49</v>
      </c>
      <c r="B1" s="30"/>
      <c r="C1" s="30"/>
      <c r="D1" s="31"/>
    </row>
    <row r="2" spans="1:6">
      <c r="A2" s="3" t="s">
        <v>16</v>
      </c>
      <c r="B2" t="s">
        <v>17</v>
      </c>
      <c r="C2" t="s">
        <v>18</v>
      </c>
      <c r="D2" s="4" t="s">
        <v>19</v>
      </c>
    </row>
    <row r="3" spans="1:6">
      <c r="A3" s="10" t="s">
        <v>50</v>
      </c>
      <c r="B3" s="2"/>
      <c r="C3" s="14" cm="1">
        <f t="array" aca="1" ref="C3" ca="1">_xludf.Note(Inhalt04)</f>
        <v>0</v>
      </c>
      <c r="D3" s="11" cm="1">
        <f t="array" aca="1" ref="D3" ca="1">Gewichtung("04", "Inhalt")</f>
        <v>0.54545454545454541</v>
      </c>
      <c r="F3" s="32" t="str">
        <f ca="1">IF(OR(D3&lt;0.5, D3&gt;0.6), "Achtung: Gewichtung für das Produkt ist nicht im vorgesehenen Bereich", "")</f>
        <v/>
      </c>
    </row>
    <row r="4" spans="1:6" ht="72.75">
      <c r="A4" s="15" t="s">
        <v>51</v>
      </c>
      <c r="D4" s="4">
        <v>1</v>
      </c>
      <c r="F4" s="32"/>
    </row>
    <row r="5" spans="1:6" ht="29.25">
      <c r="A5" s="15" t="s">
        <v>52</v>
      </c>
      <c r="D5" s="4">
        <v>1</v>
      </c>
      <c r="F5" s="32"/>
    </row>
    <row r="6" spans="1:6" ht="29.25">
      <c r="A6" s="15" t="s">
        <v>53</v>
      </c>
      <c r="D6" s="4">
        <v>1</v>
      </c>
      <c r="F6" s="32"/>
    </row>
    <row r="7" spans="1:6">
      <c r="A7" s="15" t="s">
        <v>54</v>
      </c>
      <c r="D7" s="4">
        <v>1</v>
      </c>
      <c r="F7" s="32"/>
    </row>
    <row r="8" spans="1:6" ht="29.25">
      <c r="A8" s="15" t="s">
        <v>55</v>
      </c>
      <c r="D8" s="4">
        <v>1</v>
      </c>
      <c r="F8" s="32"/>
    </row>
    <row r="9" spans="1:6" ht="87">
      <c r="A9" s="37" t="s">
        <v>56</v>
      </c>
      <c r="D9" s="4">
        <v>1</v>
      </c>
      <c r="F9" s="32"/>
    </row>
    <row r="10" spans="1:6">
      <c r="A10" s="10" t="s">
        <v>57</v>
      </c>
      <c r="B10" s="2"/>
      <c r="C10" s="14" cm="1">
        <f t="array" aca="1" ref="C10" ca="1">_xludf.Note(Theorie04)</f>
        <v>0</v>
      </c>
      <c r="D10" s="11" cm="1">
        <f t="array" aca="1" ref="D10" ca="1">Gewichtung("04", "Theorie")</f>
        <v>0.36363636363636365</v>
      </c>
      <c r="F10" s="27" t="str">
        <f ca="1">IF(OR(D10&lt;0.3, D10&gt;0.4), "Achtung: Gewichtung für den theoretischen Teil ist nicht im vorgesehenen Bereich", "")</f>
        <v/>
      </c>
    </row>
    <row r="11" spans="1:6" ht="87">
      <c r="A11" s="15" t="s">
        <v>58</v>
      </c>
      <c r="D11" s="4">
        <v>1</v>
      </c>
      <c r="F11" s="27"/>
    </row>
    <row r="12" spans="1:6" ht="29.25">
      <c r="A12" s="15" t="s">
        <v>59</v>
      </c>
      <c r="D12" s="4">
        <v>1</v>
      </c>
      <c r="F12" s="27"/>
    </row>
    <row r="13" spans="1:6">
      <c r="A13" s="3" t="s">
        <v>60</v>
      </c>
      <c r="D13" s="4">
        <v>1</v>
      </c>
      <c r="F13" s="27"/>
    </row>
    <row r="14" spans="1:6" ht="101.25">
      <c r="A14" s="15" t="s">
        <v>61</v>
      </c>
      <c r="D14" s="4">
        <v>1</v>
      </c>
      <c r="F14" s="27"/>
    </row>
    <row r="15" spans="1:6">
      <c r="A15" s="10" t="s">
        <v>62</v>
      </c>
      <c r="B15" s="2"/>
      <c r="C15" s="14" cm="1">
        <f t="array" aca="1" ref="C15" ca="1">_xludf.Note(Prozess04)</f>
        <v>0</v>
      </c>
      <c r="D15" s="11" cm="1">
        <f t="array" aca="1" ref="D15" ca="1">Gewichtung("04", "Prozess")</f>
        <v>9.0909090909090912E-2</v>
      </c>
      <c r="F15" s="32" t="str">
        <f ca="1">IF(OR(D15&lt;0.1, D15&gt;0.2), "Achtung: Gewichtung für den Arbeitsprozess ist nicht im vorgesehenen Bereich", "")</f>
        <v>Achtung: Gewichtung für den Arbeitsprozess ist nicht im vorgesehenen Bereich</v>
      </c>
    </row>
    <row r="16" spans="1:6" ht="43.5">
      <c r="A16" s="23" t="s">
        <v>63</v>
      </c>
      <c r="B16" s="6"/>
      <c r="C16" s="6"/>
      <c r="D16" s="7">
        <v>1</v>
      </c>
      <c r="F16" s="32"/>
    </row>
    <row r="17" spans="1:4">
      <c r="A17" s="3"/>
      <c r="D17" s="4"/>
    </row>
    <row r="18" spans="1:4">
      <c r="A18" s="5" t="s">
        <v>34</v>
      </c>
      <c r="B18" s="6"/>
      <c r="C18" s="9">
        <f ca="1">ROUND(SUM(C3*D3, C10*D10, C15*D15)/5, 1)*5</f>
        <v>0</v>
      </c>
      <c r="D18" s="7"/>
    </row>
  </sheetData>
  <mergeCells count="4">
    <mergeCell ref="A1:D1"/>
    <mergeCell ref="F3:F9"/>
    <mergeCell ref="F10:F14"/>
    <mergeCell ref="F15:F16"/>
  </mergeCells>
  <conditionalFormatting sqref="B4:C9 B11:C14 B16:C16">
    <cfRule type="cellIs" dxfId="3" priority="4" operator="equal">
      <formula>""</formula>
    </cfRule>
  </conditionalFormatting>
  <conditionalFormatting sqref="F3">
    <cfRule type="cellIs" dxfId="2" priority="3" operator="notEqual">
      <formula>""</formula>
    </cfRule>
  </conditionalFormatting>
  <conditionalFormatting sqref="F10">
    <cfRule type="cellIs" dxfId="1" priority="2" operator="notEqual">
      <formula>""</formula>
    </cfRule>
  </conditionalFormatting>
  <conditionalFormatting sqref="F15">
    <cfRule type="cellIs" dxfId="0" priority="1" operator="notEqual">
      <formula>""</formula>
    </cfRule>
  </conditionalFormatting>
  <dataValidations count="2">
    <dataValidation type="list" showInputMessage="1" showErrorMessage="1" sqref="C4 C11:C14 C16" xr:uid="{F1DE0323-126C-4A04-A997-AC8732BDCEED}">
      <formula1>",6,5.5,5,4.5,4,3.5,3,2.5,2,1.5,1"</formula1>
    </dataValidation>
    <dataValidation type="list" allowBlank="1" showInputMessage="1" showErrorMessage="1" sqref="C5:C9" xr:uid="{9EB54493-1AE0-420C-9325-31435372A375}">
      <formula1>"6,5.5,5,4.5,4,3.5,3,2.5,2,1.5,1"</formula1>
    </dataValidation>
  </dataValidations>
  <pageMargins left="0.7" right="0.7" top="0.75" bottom="0.75" header="0.3" footer="0.3"/>
  <pageSetup paperSize="9"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368D-EDED-41AA-8C48-F566EA2E8610}">
  <dimension ref="A1:B4"/>
  <sheetViews>
    <sheetView workbookViewId="0">
      <selection activeCell="B5" sqref="B5"/>
    </sheetView>
  </sheetViews>
  <sheetFormatPr defaultColWidth="11.42578125" defaultRowHeight="14.45"/>
  <cols>
    <col min="1" max="1" width="19.42578125" bestFit="1" customWidth="1"/>
  </cols>
  <sheetData>
    <row r="1" spans="1:2">
      <c r="A1" t="s">
        <v>8</v>
      </c>
      <c r="B1" s="24" t="s">
        <v>64</v>
      </c>
    </row>
    <row r="2" spans="1:2">
      <c r="A2" t="s">
        <v>65</v>
      </c>
      <c r="B2" s="24" t="s">
        <v>66</v>
      </c>
    </row>
    <row r="3" spans="1:2">
      <c r="A3" t="s">
        <v>67</v>
      </c>
      <c r="B3" s="24" t="s">
        <v>68</v>
      </c>
    </row>
    <row r="4" spans="1:2">
      <c r="A4" t="s">
        <v>69</v>
      </c>
      <c r="B4" s="24" t="s">
        <v>70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Roth</dc:creator>
  <cp:keywords/>
  <dc:description/>
  <cp:lastModifiedBy>Geissmann, Cedric (GymMU)</cp:lastModifiedBy>
  <cp:revision/>
  <dcterms:created xsi:type="dcterms:W3CDTF">2025-08-14T10:22:38Z</dcterms:created>
  <dcterms:modified xsi:type="dcterms:W3CDTF">2025-10-16T13:03:28Z</dcterms:modified>
  <cp:category/>
  <cp:contentStatus/>
</cp:coreProperties>
</file>